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культура на 30.06.13" sheetId="4" r:id="rId1"/>
    <sheet name="образов" sheetId="2" r:id="rId2"/>
  </sheets>
  <calcPr calcId="125725"/>
</workbook>
</file>

<file path=xl/calcChain.xml><?xml version="1.0" encoding="utf-8"?>
<calcChain xmlns="http://schemas.openxmlformats.org/spreadsheetml/2006/main">
  <c r="F21" i="4"/>
  <c r="E21"/>
  <c r="N20"/>
  <c r="M20"/>
  <c r="L20"/>
  <c r="I20"/>
  <c r="H20"/>
  <c r="G20" s="1"/>
  <c r="D20"/>
  <c r="C20" s="1"/>
  <c r="N19"/>
  <c r="M19"/>
  <c r="O19" s="1"/>
  <c r="L19"/>
  <c r="K19" s="1"/>
  <c r="J19"/>
  <c r="I19"/>
  <c r="H19"/>
  <c r="G19" s="1"/>
  <c r="C19"/>
  <c r="N18"/>
  <c r="M18"/>
  <c r="L18"/>
  <c r="G18"/>
  <c r="C18"/>
  <c r="M17"/>
  <c r="O17" s="1"/>
  <c r="L17"/>
  <c r="K17" s="1"/>
  <c r="H17"/>
  <c r="G17" s="1"/>
  <c r="C17"/>
  <c r="M16"/>
  <c r="K16" s="1"/>
  <c r="O16" s="1"/>
  <c r="I16"/>
  <c r="G16" s="1"/>
  <c r="C16"/>
  <c r="M15"/>
  <c r="L15"/>
  <c r="K15" s="1"/>
  <c r="O15" s="1"/>
  <c r="J15"/>
  <c r="I15"/>
  <c r="H15"/>
  <c r="G15" s="1"/>
  <c r="C15"/>
  <c r="N14"/>
  <c r="M14"/>
  <c r="O14" s="1"/>
  <c r="L14"/>
  <c r="K14" s="1"/>
  <c r="J14"/>
  <c r="I14"/>
  <c r="H14"/>
  <c r="G14" s="1"/>
  <c r="C14"/>
  <c r="C21" s="1"/>
  <c r="N13"/>
  <c r="M13"/>
  <c r="L13"/>
  <c r="K13"/>
  <c r="J13"/>
  <c r="J21" s="1"/>
  <c r="I13"/>
  <c r="I21"/>
  <c r="H13"/>
  <c r="G13" s="1"/>
  <c r="C13"/>
  <c r="M12"/>
  <c r="L12"/>
  <c r="H12"/>
  <c r="G12" s="1"/>
  <c r="C12"/>
  <c r="N11"/>
  <c r="N21"/>
  <c r="M11"/>
  <c r="M21" s="1"/>
  <c r="L11"/>
  <c r="L21"/>
  <c r="G11"/>
  <c r="C11"/>
  <c r="D13" i="2"/>
  <c r="D12"/>
  <c r="D15"/>
  <c r="D14"/>
  <c r="D11"/>
  <c r="C17"/>
  <c r="K11"/>
  <c r="K17" s="1"/>
  <c r="P14"/>
  <c r="P13"/>
  <c r="M12"/>
  <c r="P12" s="1"/>
  <c r="M15"/>
  <c r="P15" s="1"/>
  <c r="M14"/>
  <c r="M13"/>
  <c r="M11"/>
  <c r="P11" s="1"/>
  <c r="O11"/>
  <c r="O17" s="1"/>
  <c r="I15"/>
  <c r="I14"/>
  <c r="I13"/>
  <c r="I17" s="1"/>
  <c r="I12"/>
  <c r="N17"/>
  <c r="L17"/>
  <c r="J17"/>
  <c r="H17"/>
  <c r="G17"/>
  <c r="F17"/>
  <c r="E17"/>
  <c r="D17"/>
  <c r="O13" i="4"/>
  <c r="K20"/>
  <c r="O20" s="1"/>
  <c r="O18" l="1"/>
  <c r="O12"/>
  <c r="G21"/>
  <c r="M17" i="2"/>
  <c r="P17" s="1"/>
  <c r="H21" i="4"/>
  <c r="K12"/>
  <c r="D21"/>
  <c r="O11"/>
  <c r="K11"/>
  <c r="K21" s="1"/>
  <c r="O21" s="1"/>
  <c r="K18"/>
</calcChain>
</file>

<file path=xl/sharedStrings.xml><?xml version="1.0" encoding="utf-8"?>
<sst xmlns="http://schemas.openxmlformats.org/spreadsheetml/2006/main" count="103" uniqueCount="53">
  <si>
    <t xml:space="preserve">МУ"Управление культуры " администрации МОГО "Ухта" </t>
  </si>
  <si>
    <t>№</t>
  </si>
  <si>
    <t>Наименование</t>
  </si>
  <si>
    <t>п/п</t>
  </si>
  <si>
    <t>учреждения</t>
  </si>
  <si>
    <t>ФОТ</t>
  </si>
  <si>
    <t>МУ"Дом молодежи"</t>
  </si>
  <si>
    <t>МУ"Централизованная клубная система</t>
  </si>
  <si>
    <t>МУ"Объединенный центр народной культуры"</t>
  </si>
  <si>
    <t>МУ  "Водненский дом культуры"</t>
  </si>
  <si>
    <t>МУ  Ярегский дом культуры"</t>
  </si>
  <si>
    <t>МУ "Культурный центр "Юбилейный"</t>
  </si>
  <si>
    <t>МУ "Ухтинский парк культуры и отдыха"</t>
  </si>
  <si>
    <t>МУ "Музейное объединение"</t>
  </si>
  <si>
    <t>МУ "Центральная библиотека"</t>
  </si>
  <si>
    <t>МУ "Городской дворец культуры"</t>
  </si>
  <si>
    <t>ИТОГО:</t>
  </si>
  <si>
    <t>МОУ ДОД "ДМШ-1"</t>
  </si>
  <si>
    <t>МОУ ДОД "ДМШ-2"</t>
  </si>
  <si>
    <t>МОУ ДОД "ДХШ"</t>
  </si>
  <si>
    <t>МОУ ДОД "ДМШ п. Ярега"</t>
  </si>
  <si>
    <t>МОУ ДОД "ДМШ  п. Водный"</t>
  </si>
  <si>
    <t>в том числе</t>
  </si>
  <si>
    <t>прочий персонал</t>
  </si>
  <si>
    <t>АУП</t>
  </si>
  <si>
    <t>основной</t>
  </si>
  <si>
    <t>персонал</t>
  </si>
  <si>
    <t>Всего</t>
  </si>
  <si>
    <t>среднесписочная численность 
за 1 полугодие 2013</t>
  </si>
  <si>
    <t xml:space="preserve">ФОТ за 1 полугодие  2013 г
</t>
  </si>
  <si>
    <t>ФОТ прочего</t>
  </si>
  <si>
    <t>персонала %</t>
  </si>
  <si>
    <t>к общему</t>
  </si>
  <si>
    <t>Примечание</t>
  </si>
  <si>
    <t xml:space="preserve">число </t>
  </si>
  <si>
    <t xml:space="preserve">получателей </t>
  </si>
  <si>
    <t>услуг</t>
  </si>
  <si>
    <t>АУП и</t>
  </si>
  <si>
    <t>обслуж</t>
  </si>
  <si>
    <t xml:space="preserve">зам </t>
  </si>
  <si>
    <t xml:space="preserve">рук </t>
  </si>
  <si>
    <t>обслужив</t>
  </si>
  <si>
    <t xml:space="preserve">ФОТ  АУПа и </t>
  </si>
  <si>
    <t>в % к общему</t>
  </si>
  <si>
    <t>обсл персонала</t>
  </si>
  <si>
    <t>вспомог</t>
  </si>
  <si>
    <t>персон</t>
  </si>
  <si>
    <t>чание</t>
  </si>
  <si>
    <t>Приме</t>
  </si>
  <si>
    <t>ё</t>
  </si>
  <si>
    <t>штатная численность
 на  1 июля 2013</t>
  </si>
  <si>
    <t xml:space="preserve">Информация  </t>
  </si>
  <si>
    <t>Информация  (согласно приложениям № 2,3  к Протоколу)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</si>
</sst>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%"/>
  </numFmts>
  <fonts count="7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0" fontId="5" fillId="0" borderId="6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4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3" fillId="0" borderId="0" xfId="0" applyNumberFormat="1" applyFont="1"/>
    <xf numFmtId="164" fontId="2" fillId="2" borderId="6" xfId="0" applyNumberFormat="1" applyFont="1" applyFill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B35" sqref="B35"/>
    </sheetView>
  </sheetViews>
  <sheetFormatPr defaultRowHeight="12"/>
  <cols>
    <col min="1" max="1" width="3.28515625" style="1" customWidth="1"/>
    <col min="2" max="2" width="38.140625" style="1" customWidth="1"/>
    <col min="3" max="3" width="5.85546875" style="54" customWidth="1"/>
    <col min="4" max="4" width="8" style="54" customWidth="1"/>
    <col min="5" max="5" width="5.5703125" style="54" customWidth="1"/>
    <col min="6" max="6" width="7.5703125" style="54" customWidth="1"/>
    <col min="7" max="7" width="5.85546875" style="54" customWidth="1"/>
    <col min="8" max="8" width="8.42578125" style="54" customWidth="1"/>
    <col min="9" max="9" width="6.42578125" style="54" customWidth="1"/>
    <col min="10" max="10" width="6.28515625" style="54" customWidth="1"/>
    <col min="11" max="11" width="7.5703125" style="1" customWidth="1"/>
    <col min="12" max="12" width="8.140625" style="1" customWidth="1"/>
    <col min="13" max="13" width="7.28515625" style="54" customWidth="1"/>
    <col min="14" max="14" width="7.28515625" style="1" customWidth="1"/>
    <col min="15" max="15" width="9.5703125" style="27" customWidth="1"/>
    <col min="16" max="16" width="8.85546875" style="53" customWidth="1"/>
    <col min="17" max="16384" width="9.140625" style="1"/>
  </cols>
  <sheetData>
    <row r="1" spans="1:17" ht="1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>
      <c r="K3" s="54"/>
      <c r="L3" s="54"/>
      <c r="N3" s="54"/>
    </row>
    <row r="5" spans="1:17" ht="27" customHeight="1">
      <c r="A5" s="4"/>
      <c r="B5" s="4"/>
      <c r="C5" s="59" t="s">
        <v>50</v>
      </c>
      <c r="D5" s="60"/>
      <c r="E5" s="60"/>
      <c r="F5" s="61"/>
      <c r="G5" s="59" t="s">
        <v>28</v>
      </c>
      <c r="H5" s="60"/>
      <c r="I5" s="60"/>
      <c r="J5" s="61"/>
      <c r="K5" s="62" t="s">
        <v>29</v>
      </c>
      <c r="L5" s="62"/>
      <c r="M5" s="62"/>
      <c r="N5" s="62"/>
      <c r="O5" s="62"/>
      <c r="P5" s="26" t="s">
        <v>48</v>
      </c>
    </row>
    <row r="6" spans="1:17">
      <c r="A6" s="5" t="s">
        <v>1</v>
      </c>
      <c r="B6" s="5" t="s">
        <v>2</v>
      </c>
      <c r="C6" s="6"/>
      <c r="D6" s="63" t="s">
        <v>22</v>
      </c>
      <c r="E6" s="64"/>
      <c r="F6" s="65"/>
      <c r="G6" s="6"/>
      <c r="H6" s="63" t="s">
        <v>22</v>
      </c>
      <c r="I6" s="64"/>
      <c r="J6" s="65"/>
      <c r="K6" s="6"/>
      <c r="L6" s="66" t="s">
        <v>22</v>
      </c>
      <c r="M6" s="67"/>
      <c r="N6" s="68"/>
      <c r="O6" s="26" t="s">
        <v>30</v>
      </c>
      <c r="P6" s="26" t="s">
        <v>47</v>
      </c>
    </row>
    <row r="7" spans="1:17">
      <c r="A7" s="5" t="s">
        <v>3</v>
      </c>
      <c r="B7" s="5" t="s">
        <v>4</v>
      </c>
      <c r="C7" s="25" t="s">
        <v>27</v>
      </c>
      <c r="D7" s="6"/>
      <c r="E7" s="63" t="s">
        <v>23</v>
      </c>
      <c r="F7" s="65"/>
      <c r="G7" s="25" t="s">
        <v>27</v>
      </c>
      <c r="H7" s="6"/>
      <c r="I7" s="63" t="s">
        <v>23</v>
      </c>
      <c r="J7" s="65"/>
      <c r="K7" s="25" t="s">
        <v>27</v>
      </c>
      <c r="L7" s="6"/>
      <c r="M7" s="63" t="s">
        <v>23</v>
      </c>
      <c r="N7" s="65"/>
      <c r="O7" s="7" t="s">
        <v>31</v>
      </c>
      <c r="P7" s="7"/>
    </row>
    <row r="8" spans="1:17">
      <c r="A8" s="5"/>
      <c r="B8" s="5"/>
      <c r="C8" s="6"/>
      <c r="D8" s="6" t="s">
        <v>25</v>
      </c>
      <c r="E8" s="7" t="s">
        <v>24</v>
      </c>
      <c r="F8" s="7" t="s">
        <v>45</v>
      </c>
      <c r="G8" s="6"/>
      <c r="H8" s="6" t="s">
        <v>25</v>
      </c>
      <c r="I8" s="7" t="s">
        <v>24</v>
      </c>
      <c r="J8" s="7" t="s">
        <v>49</v>
      </c>
      <c r="K8" s="6"/>
      <c r="L8" s="6" t="s">
        <v>25</v>
      </c>
      <c r="M8" s="7" t="s">
        <v>24</v>
      </c>
      <c r="N8" s="7" t="s">
        <v>45</v>
      </c>
      <c r="O8" s="7" t="s">
        <v>32</v>
      </c>
      <c r="P8" s="7"/>
    </row>
    <row r="9" spans="1:17">
      <c r="A9" s="8"/>
      <c r="B9" s="8"/>
      <c r="C9" s="55"/>
      <c r="D9" s="55" t="s">
        <v>26</v>
      </c>
      <c r="E9" s="10"/>
      <c r="F9" s="11" t="s">
        <v>46</v>
      </c>
      <c r="G9" s="55"/>
      <c r="H9" s="55" t="s">
        <v>26</v>
      </c>
      <c r="I9" s="10"/>
      <c r="J9" s="11" t="s">
        <v>46</v>
      </c>
      <c r="K9" s="55"/>
      <c r="L9" s="55" t="s">
        <v>26</v>
      </c>
      <c r="M9" s="10"/>
      <c r="N9" s="11" t="s">
        <v>46</v>
      </c>
      <c r="O9" s="10" t="s">
        <v>5</v>
      </c>
      <c r="P9" s="10"/>
    </row>
    <row r="10" spans="1:17" s="14" customFormat="1" ht="11.25">
      <c r="A10" s="12"/>
      <c r="B10" s="1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7">
      <c r="A11" s="15">
        <v>1</v>
      </c>
      <c r="B11" s="16" t="s">
        <v>6</v>
      </c>
      <c r="C11" s="30">
        <f>D11+E11+F11</f>
        <v>17</v>
      </c>
      <c r="D11" s="30">
        <v>4</v>
      </c>
      <c r="E11" s="30">
        <v>3.5</v>
      </c>
      <c r="F11" s="32">
        <v>9.5</v>
      </c>
      <c r="G11" s="30">
        <f>H11+I11+J11</f>
        <v>14.7</v>
      </c>
      <c r="H11" s="10">
        <v>2.6</v>
      </c>
      <c r="I11" s="30">
        <v>3.9</v>
      </c>
      <c r="J11" s="32">
        <v>8.1999999999999993</v>
      </c>
      <c r="K11" s="30">
        <f>L11+M11+N11</f>
        <v>1014.2</v>
      </c>
      <c r="L11" s="10">
        <f>67.9+29.6+91.4</f>
        <v>188.9</v>
      </c>
      <c r="M11" s="30">
        <f>138.1+243.5</f>
        <v>381.6</v>
      </c>
      <c r="N11" s="32">
        <f>426.9+16.8</f>
        <v>443.7</v>
      </c>
      <c r="O11" s="41">
        <f>(M11+N11)/K11</f>
        <v>0.81374482350621169</v>
      </c>
      <c r="P11" s="38"/>
      <c r="Q11" s="39"/>
    </row>
    <row r="12" spans="1:17" ht="12.75" customHeight="1">
      <c r="A12" s="15">
        <v>2</v>
      </c>
      <c r="B12" s="17" t="s">
        <v>7</v>
      </c>
      <c r="C12" s="30">
        <f t="shared" ref="C12:C20" si="0">D12+E12+F12</f>
        <v>50</v>
      </c>
      <c r="D12" s="32">
        <v>20</v>
      </c>
      <c r="E12" s="32">
        <v>10</v>
      </c>
      <c r="F12" s="32">
        <v>20</v>
      </c>
      <c r="G12" s="30">
        <f t="shared" ref="G12:G20" si="1">H12+I12+J12</f>
        <v>40.700000000000003</v>
      </c>
      <c r="H12" s="28">
        <f>2.4+9.1+3.3</f>
        <v>14.8</v>
      </c>
      <c r="I12" s="32">
        <v>7.5</v>
      </c>
      <c r="J12" s="32">
        <v>18.399999999999999</v>
      </c>
      <c r="K12" s="30">
        <f t="shared" ref="K12:K20" si="2">L12+M12+N12</f>
        <v>3037.1000000000004</v>
      </c>
      <c r="L12" s="28">
        <f>191.1+15.2+676.5+292.8</f>
        <v>1175.5999999999999</v>
      </c>
      <c r="M12" s="32">
        <f>209.3+723.9</f>
        <v>933.2</v>
      </c>
      <c r="N12" s="32">
        <v>928.3</v>
      </c>
      <c r="O12" s="41">
        <f t="shared" ref="O12:O21" si="3">(M12+N12)/K12</f>
        <v>0.61292021994665957</v>
      </c>
      <c r="P12" s="28"/>
    </row>
    <row r="13" spans="1:17">
      <c r="A13" s="15">
        <v>3</v>
      </c>
      <c r="B13" s="17" t="s">
        <v>8</v>
      </c>
      <c r="C13" s="30">
        <f t="shared" si="0"/>
        <v>43.5</v>
      </c>
      <c r="D13" s="32">
        <v>16.5</v>
      </c>
      <c r="E13" s="32">
        <v>11</v>
      </c>
      <c r="F13" s="32">
        <v>16</v>
      </c>
      <c r="G13" s="30">
        <f t="shared" si="1"/>
        <v>41</v>
      </c>
      <c r="H13" s="28">
        <f>3+10.5+2.4</f>
        <v>15.9</v>
      </c>
      <c r="I13" s="32">
        <f>1+8+0.5</f>
        <v>9.5</v>
      </c>
      <c r="J13" s="32">
        <f>15.1+0.5</f>
        <v>15.6</v>
      </c>
      <c r="K13" s="30">
        <f t="shared" si="2"/>
        <v>3488.2999999999997</v>
      </c>
      <c r="L13" s="28">
        <f>317.9+963.4+198</f>
        <v>1479.3</v>
      </c>
      <c r="M13" s="32">
        <f>180.3+928.8+40.8</f>
        <v>1149.8999999999999</v>
      </c>
      <c r="N13" s="32">
        <f>832.2+26.9</f>
        <v>859.1</v>
      </c>
      <c r="O13" s="41">
        <f t="shared" si="3"/>
        <v>0.57592523578820631</v>
      </c>
      <c r="P13" s="28"/>
    </row>
    <row r="14" spans="1:17">
      <c r="A14" s="15">
        <v>4</v>
      </c>
      <c r="B14" s="17" t="s">
        <v>9</v>
      </c>
      <c r="C14" s="30">
        <f t="shared" si="0"/>
        <v>35.5</v>
      </c>
      <c r="D14" s="32">
        <v>8.5</v>
      </c>
      <c r="E14" s="32">
        <v>7.5</v>
      </c>
      <c r="F14" s="32">
        <v>19.5</v>
      </c>
      <c r="G14" s="30">
        <f t="shared" si="1"/>
        <v>22.9</v>
      </c>
      <c r="H14" s="28">
        <f>1+3+0.7</f>
        <v>4.7</v>
      </c>
      <c r="I14" s="32">
        <f>4.5+0.8</f>
        <v>5.3</v>
      </c>
      <c r="J14" s="32">
        <f>11.9+1</f>
        <v>12.9</v>
      </c>
      <c r="K14" s="30">
        <f t="shared" si="2"/>
        <v>2095.9</v>
      </c>
      <c r="L14" s="28">
        <f>170.3+249.3+58.9</f>
        <v>478.5</v>
      </c>
      <c r="M14" s="32">
        <f>190.8+442.9+108.2</f>
        <v>741.90000000000009</v>
      </c>
      <c r="N14" s="32">
        <f>808.8+63.8+2.9</f>
        <v>875.49999999999989</v>
      </c>
      <c r="O14" s="41">
        <f t="shared" si="3"/>
        <v>0.77169712295433945</v>
      </c>
      <c r="P14" s="28"/>
    </row>
    <row r="15" spans="1:17">
      <c r="A15" s="15">
        <v>5</v>
      </c>
      <c r="B15" s="17" t="s">
        <v>10</v>
      </c>
      <c r="C15" s="30">
        <f t="shared" si="0"/>
        <v>26</v>
      </c>
      <c r="D15" s="32">
        <v>7.5</v>
      </c>
      <c r="E15" s="32">
        <v>8</v>
      </c>
      <c r="F15" s="32">
        <v>10.5</v>
      </c>
      <c r="G15" s="30">
        <f t="shared" si="1"/>
        <v>21.9</v>
      </c>
      <c r="H15" s="28">
        <f>0.5+0.8+3+2.8</f>
        <v>7.1</v>
      </c>
      <c r="I15" s="32">
        <f>1+5.8+0.5</f>
        <v>7.3</v>
      </c>
      <c r="J15" s="32">
        <f>7.5</f>
        <v>7.5</v>
      </c>
      <c r="K15" s="30">
        <f t="shared" si="2"/>
        <v>2263.1999999999998</v>
      </c>
      <c r="L15" s="28">
        <f>33.1+5+118.8+38.9+197.6+18.3+161+27</f>
        <v>599.70000000000005</v>
      </c>
      <c r="M15" s="32">
        <f>865.6+48.1+270.9</f>
        <v>1184.5999999999999</v>
      </c>
      <c r="N15" s="32">
        <v>478.9</v>
      </c>
      <c r="O15" s="41">
        <f t="shared" si="3"/>
        <v>0.73502120890774136</v>
      </c>
      <c r="P15" s="28"/>
    </row>
    <row r="16" spans="1:17">
      <c r="A16" s="15">
        <v>6</v>
      </c>
      <c r="B16" s="17" t="s">
        <v>11</v>
      </c>
      <c r="C16" s="30">
        <f t="shared" si="0"/>
        <v>24</v>
      </c>
      <c r="D16" s="32">
        <v>2</v>
      </c>
      <c r="E16" s="32">
        <v>2</v>
      </c>
      <c r="F16" s="32">
        <v>20</v>
      </c>
      <c r="G16" s="30">
        <f t="shared" si="1"/>
        <v>17.3</v>
      </c>
      <c r="H16" s="32">
        <v>2</v>
      </c>
      <c r="I16" s="32">
        <f>1+1</f>
        <v>2</v>
      </c>
      <c r="J16" s="32">
        <v>13.3</v>
      </c>
      <c r="K16" s="30">
        <f t="shared" si="2"/>
        <v>1486.1</v>
      </c>
      <c r="L16" s="28">
        <v>157.80000000000001</v>
      </c>
      <c r="M16" s="32">
        <f>161.7+171</f>
        <v>332.7</v>
      </c>
      <c r="N16" s="32">
        <v>995.6</v>
      </c>
      <c r="O16" s="41">
        <f t="shared" si="3"/>
        <v>0.89381602853105446</v>
      </c>
      <c r="P16" s="28"/>
    </row>
    <row r="17" spans="1:16">
      <c r="A17" s="15">
        <v>7</v>
      </c>
      <c r="B17" s="17" t="s">
        <v>12</v>
      </c>
      <c r="C17" s="30">
        <f t="shared" si="0"/>
        <v>12</v>
      </c>
      <c r="D17" s="32">
        <v>5</v>
      </c>
      <c r="E17" s="32">
        <v>3</v>
      </c>
      <c r="F17" s="32">
        <v>4</v>
      </c>
      <c r="G17" s="30">
        <f t="shared" si="1"/>
        <v>11.5</v>
      </c>
      <c r="H17" s="32">
        <f>5</f>
        <v>5</v>
      </c>
      <c r="I17" s="32">
        <v>3</v>
      </c>
      <c r="J17" s="32">
        <v>3.5</v>
      </c>
      <c r="K17" s="30">
        <f t="shared" si="2"/>
        <v>961.59999999999991</v>
      </c>
      <c r="L17" s="28">
        <f>137.9+300.2</f>
        <v>438.1</v>
      </c>
      <c r="M17" s="32">
        <f>159.1+180.7</f>
        <v>339.79999999999995</v>
      </c>
      <c r="N17" s="32">
        <v>183.7</v>
      </c>
      <c r="O17" s="41">
        <f t="shared" si="3"/>
        <v>0.54440515806988354</v>
      </c>
      <c r="P17" s="28"/>
    </row>
    <row r="18" spans="1:16">
      <c r="A18" s="15">
        <v>8</v>
      </c>
      <c r="B18" s="17" t="s">
        <v>13</v>
      </c>
      <c r="C18" s="30">
        <f t="shared" si="0"/>
        <v>25.5</v>
      </c>
      <c r="D18" s="32">
        <v>7</v>
      </c>
      <c r="E18" s="32">
        <v>12</v>
      </c>
      <c r="F18" s="32">
        <v>6.5</v>
      </c>
      <c r="G18" s="30">
        <f t="shared" si="1"/>
        <v>17.2</v>
      </c>
      <c r="H18" s="32">
        <v>5.2</v>
      </c>
      <c r="I18" s="32">
        <v>9.3000000000000007</v>
      </c>
      <c r="J18" s="32">
        <v>2.7</v>
      </c>
      <c r="K18" s="30">
        <f t="shared" si="2"/>
        <v>2037.7000000000003</v>
      </c>
      <c r="L18" s="28">
        <f>504.7</f>
        <v>504.7</v>
      </c>
      <c r="M18" s="32">
        <f>211.9+1054.4</f>
        <v>1266.3000000000002</v>
      </c>
      <c r="N18" s="32">
        <f>256.8+9.9</f>
        <v>266.7</v>
      </c>
      <c r="O18" s="41">
        <f t="shared" si="3"/>
        <v>0.7523187907935418</v>
      </c>
      <c r="P18" s="28"/>
    </row>
    <row r="19" spans="1:16">
      <c r="A19" s="15">
        <v>9</v>
      </c>
      <c r="B19" s="17" t="s">
        <v>14</v>
      </c>
      <c r="C19" s="30">
        <f t="shared" si="0"/>
        <v>115</v>
      </c>
      <c r="D19" s="32">
        <v>37</v>
      </c>
      <c r="E19" s="32">
        <v>37</v>
      </c>
      <c r="F19" s="32">
        <v>41</v>
      </c>
      <c r="G19" s="30">
        <f t="shared" si="1"/>
        <v>92.2</v>
      </c>
      <c r="H19" s="32">
        <f>25.1+0.1</f>
        <v>25.200000000000003</v>
      </c>
      <c r="I19" s="32">
        <f>31.5+0.7</f>
        <v>32.200000000000003</v>
      </c>
      <c r="J19" s="32">
        <f>32.5+2.3</f>
        <v>34.799999999999997</v>
      </c>
      <c r="K19" s="30">
        <f t="shared" si="2"/>
        <v>8797.4</v>
      </c>
      <c r="L19" s="28">
        <f>2233.6+7.6</f>
        <v>2241.1999999999998</v>
      </c>
      <c r="M19" s="32">
        <f>309.6+4021.3+89.7</f>
        <v>4420.6000000000004</v>
      </c>
      <c r="N19" s="32">
        <f>1978+157.6</f>
        <v>2135.6</v>
      </c>
      <c r="O19" s="41">
        <f t="shared" si="3"/>
        <v>0.74524291267874609</v>
      </c>
      <c r="P19" s="28"/>
    </row>
    <row r="20" spans="1:16">
      <c r="A20" s="15">
        <v>10</v>
      </c>
      <c r="B20" s="17" t="s">
        <v>15</v>
      </c>
      <c r="C20" s="30">
        <f t="shared" si="0"/>
        <v>108.5</v>
      </c>
      <c r="D20" s="32">
        <f>2+20.5+12</f>
        <v>34.5</v>
      </c>
      <c r="E20" s="32">
        <v>21</v>
      </c>
      <c r="F20" s="32">
        <v>53</v>
      </c>
      <c r="G20" s="30">
        <f t="shared" si="1"/>
        <v>94.2</v>
      </c>
      <c r="H20" s="28">
        <f>2+14.7+6.5+8</f>
        <v>31.2</v>
      </c>
      <c r="I20" s="32">
        <f>1+22</f>
        <v>23</v>
      </c>
      <c r="J20" s="32">
        <v>40</v>
      </c>
      <c r="K20" s="30">
        <f t="shared" si="2"/>
        <v>9221.2000000000007</v>
      </c>
      <c r="L20" s="28">
        <f>184.3+1172.4+223.2+716.7</f>
        <v>2296.6000000000004</v>
      </c>
      <c r="M20" s="32">
        <f>280.9+3353.6+30.3</f>
        <v>3664.8</v>
      </c>
      <c r="N20" s="32">
        <f>3259.8</f>
        <v>3259.8</v>
      </c>
      <c r="O20" s="41">
        <f t="shared" si="3"/>
        <v>0.75094347807226824</v>
      </c>
      <c r="P20" s="28"/>
    </row>
    <row r="21" spans="1:16">
      <c r="A21" s="15"/>
      <c r="B21" s="18" t="s">
        <v>16</v>
      </c>
      <c r="C21" s="33">
        <f t="shared" ref="C21:N21" si="4">C11+C12+C13+C14+C15+C16+C17+C18+C19+C20</f>
        <v>457</v>
      </c>
      <c r="D21" s="33">
        <f t="shared" si="4"/>
        <v>142</v>
      </c>
      <c r="E21" s="33">
        <f t="shared" si="4"/>
        <v>115</v>
      </c>
      <c r="F21" s="33">
        <f t="shared" si="4"/>
        <v>200</v>
      </c>
      <c r="G21" s="40">
        <f t="shared" si="4"/>
        <v>373.6</v>
      </c>
      <c r="H21" s="40">
        <f t="shared" si="4"/>
        <v>113.70000000000002</v>
      </c>
      <c r="I21" s="40">
        <f t="shared" si="4"/>
        <v>103</v>
      </c>
      <c r="J21" s="33">
        <f t="shared" si="4"/>
        <v>156.89999999999998</v>
      </c>
      <c r="K21" s="33">
        <f t="shared" si="4"/>
        <v>34402.699999999997</v>
      </c>
      <c r="L21" s="33">
        <f t="shared" si="4"/>
        <v>9560.4000000000015</v>
      </c>
      <c r="M21" s="33">
        <f t="shared" si="4"/>
        <v>14415.400000000001</v>
      </c>
      <c r="N21" s="33">
        <f t="shared" si="4"/>
        <v>10426.900000000001</v>
      </c>
      <c r="O21" s="42">
        <f t="shared" si="3"/>
        <v>0.72210320701572861</v>
      </c>
      <c r="P21" s="28"/>
    </row>
    <row r="22" spans="1:16">
      <c r="A22" s="20"/>
      <c r="B22" s="21"/>
      <c r="C22" s="22"/>
      <c r="D22" s="22"/>
      <c r="E22" s="22"/>
      <c r="F22" s="23"/>
      <c r="G22" s="22"/>
      <c r="H22" s="22"/>
      <c r="I22" s="23"/>
      <c r="J22" s="24"/>
      <c r="K22" s="22"/>
      <c r="L22" s="22"/>
      <c r="M22" s="22"/>
      <c r="N22" s="23"/>
    </row>
    <row r="23" spans="1:16">
      <c r="A23" s="20"/>
      <c r="B23" s="21"/>
      <c r="C23" s="22"/>
      <c r="D23" s="22"/>
      <c r="E23" s="22"/>
      <c r="F23" s="23"/>
      <c r="G23" s="22"/>
      <c r="H23" s="22"/>
      <c r="I23" s="23"/>
      <c r="J23" s="24"/>
      <c r="K23" s="22"/>
      <c r="L23" s="22"/>
      <c r="M23" s="22"/>
      <c r="N23" s="23"/>
    </row>
    <row r="24" spans="1:16">
      <c r="A24" s="20"/>
      <c r="B24" s="21"/>
      <c r="C24" s="22"/>
      <c r="D24" s="22"/>
      <c r="E24" s="22"/>
      <c r="F24" s="23"/>
      <c r="G24" s="22"/>
      <c r="H24" s="22"/>
      <c r="I24" s="23"/>
      <c r="J24" s="24"/>
      <c r="K24" s="22"/>
      <c r="L24" s="22"/>
      <c r="M24" s="22"/>
      <c r="N24" s="23"/>
    </row>
    <row r="25" spans="1:16">
      <c r="A25" s="20"/>
      <c r="B25" s="21"/>
      <c r="C25" s="22"/>
      <c r="D25" s="22"/>
      <c r="E25" s="22"/>
      <c r="F25" s="23"/>
      <c r="G25" s="22"/>
      <c r="H25" s="22"/>
      <c r="I25" s="23"/>
      <c r="J25" s="24"/>
      <c r="K25" s="22"/>
      <c r="L25" s="22"/>
      <c r="M25" s="22"/>
      <c r="N25" s="23"/>
    </row>
    <row r="26" spans="1:16">
      <c r="A26" s="20"/>
      <c r="B26" s="21"/>
      <c r="C26" s="22"/>
      <c r="D26" s="22"/>
      <c r="E26" s="22"/>
      <c r="F26" s="23"/>
      <c r="G26" s="22"/>
      <c r="H26" s="22"/>
      <c r="I26" s="23"/>
      <c r="J26" s="24"/>
      <c r="K26" s="22"/>
      <c r="L26" s="22"/>
      <c r="M26" s="22"/>
      <c r="N26" s="23"/>
    </row>
    <row r="27" spans="1:16">
      <c r="H27" s="19"/>
    </row>
    <row r="29" spans="1:16">
      <c r="B29" s="69"/>
      <c r="C29" s="69"/>
      <c r="E29" s="1"/>
      <c r="K29" s="54"/>
      <c r="M29" s="1"/>
    </row>
  </sheetData>
  <mergeCells count="12">
    <mergeCell ref="E7:F7"/>
    <mergeCell ref="I7:J7"/>
    <mergeCell ref="M7:N7"/>
    <mergeCell ref="B29:C29"/>
    <mergeCell ref="A1:P1"/>
    <mergeCell ref="A2:P2"/>
    <mergeCell ref="C5:F5"/>
    <mergeCell ref="G5:J5"/>
    <mergeCell ref="K5:O5"/>
    <mergeCell ref="D6:F6"/>
    <mergeCell ref="H6:J6"/>
    <mergeCell ref="L6:N6"/>
  </mergeCells>
  <pageMargins left="0.19685039370078741" right="0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>
      <selection activeCell="V12" sqref="V12"/>
    </sheetView>
  </sheetViews>
  <sheetFormatPr defaultRowHeight="12"/>
  <cols>
    <col min="1" max="1" width="2.7109375" style="1" customWidth="1"/>
    <col min="2" max="2" width="21.85546875" style="1" customWidth="1"/>
    <col min="3" max="3" width="9.7109375" style="27" customWidth="1"/>
    <col min="4" max="4" width="6.28515625" style="2" customWidth="1"/>
    <col min="5" max="5" width="8.140625" style="2" customWidth="1"/>
    <col min="6" max="6" width="6" style="2" customWidth="1"/>
    <col min="7" max="7" width="8.5703125" style="2" customWidth="1"/>
    <col min="8" max="8" width="7.140625" style="2" customWidth="1"/>
    <col min="9" max="9" width="7.5703125" style="2" customWidth="1"/>
    <col min="10" max="10" width="5.28515625" style="2" customWidth="1"/>
    <col min="11" max="11" width="8.7109375" style="2" customWidth="1"/>
    <col min="12" max="12" width="6.42578125" style="2" customWidth="1"/>
    <col min="13" max="13" width="8.7109375" style="2" customWidth="1"/>
    <col min="14" max="14" width="6.5703125" style="2" customWidth="1"/>
    <col min="15" max="15" width="8" style="2" customWidth="1"/>
    <col min="16" max="16" width="12.140625" style="2" customWidth="1"/>
    <col min="17" max="17" width="10.140625" style="27" customWidth="1"/>
    <col min="18" max="18" width="10.140625" style="46" customWidth="1"/>
    <col min="19" max="19" width="6.7109375" style="2" customWidth="1"/>
    <col min="20" max="20" width="8.42578125" style="2" customWidth="1"/>
    <col min="21" max="21" width="6.42578125" style="2" customWidth="1"/>
    <col min="22" max="22" width="11.28515625" style="2" customWidth="1"/>
    <col min="23" max="23" width="8.28515625" style="1" customWidth="1"/>
    <col min="24" max="24" width="9" style="1" customWidth="1"/>
    <col min="25" max="25" width="8.28515625" style="2" customWidth="1"/>
    <col min="26" max="26" width="11" style="1" customWidth="1"/>
    <col min="27" max="27" width="11.140625" style="27" customWidth="1"/>
    <col min="28" max="28" width="10.140625" style="27" customWidth="1"/>
    <col min="29" max="16384" width="9.140625" style="1"/>
  </cols>
  <sheetData>
    <row r="1" spans="1:30" ht="1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</row>
    <row r="2" spans="1:30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2"/>
      <c r="S2" s="52"/>
      <c r="T2" s="52"/>
      <c r="U2" s="52"/>
      <c r="V2" s="52"/>
    </row>
    <row r="3" spans="1:30">
      <c r="W3" s="2"/>
      <c r="X3" s="2"/>
      <c r="Z3" s="2"/>
    </row>
    <row r="5" spans="1:30" ht="27" customHeight="1">
      <c r="A5" s="4"/>
      <c r="B5" s="4"/>
      <c r="C5" s="43"/>
      <c r="D5" s="59" t="s">
        <v>50</v>
      </c>
      <c r="E5" s="60"/>
      <c r="F5" s="60"/>
      <c r="G5" s="61"/>
      <c r="H5" s="59" t="s">
        <v>28</v>
      </c>
      <c r="I5" s="60"/>
      <c r="J5" s="60"/>
      <c r="K5" s="61"/>
      <c r="L5" s="62" t="s">
        <v>29</v>
      </c>
      <c r="M5" s="62"/>
      <c r="N5" s="62"/>
      <c r="O5" s="62"/>
      <c r="P5" s="62"/>
      <c r="Q5" s="34" t="s">
        <v>33</v>
      </c>
      <c r="S5" s="56"/>
      <c r="T5" s="56"/>
      <c r="U5" s="56"/>
      <c r="V5" s="56"/>
      <c r="W5" s="56"/>
      <c r="X5" s="56"/>
      <c r="Y5" s="56"/>
      <c r="Z5" s="56"/>
    </row>
    <row r="6" spans="1:30">
      <c r="A6" s="5" t="s">
        <v>1</v>
      </c>
      <c r="B6" s="5" t="s">
        <v>2</v>
      </c>
      <c r="C6" s="6" t="s">
        <v>34</v>
      </c>
      <c r="D6" s="6"/>
      <c r="E6" s="63" t="s">
        <v>22</v>
      </c>
      <c r="F6" s="64"/>
      <c r="G6" s="65"/>
      <c r="H6" s="6"/>
      <c r="I6" s="63" t="s">
        <v>22</v>
      </c>
      <c r="J6" s="64"/>
      <c r="K6" s="65"/>
      <c r="L6" s="6"/>
      <c r="M6" s="63" t="s">
        <v>22</v>
      </c>
      <c r="N6" s="64"/>
      <c r="O6" s="65"/>
      <c r="P6" s="26" t="s">
        <v>42</v>
      </c>
      <c r="Q6" s="35"/>
      <c r="S6" s="56"/>
      <c r="T6" s="56"/>
      <c r="U6" s="56"/>
      <c r="V6" s="56"/>
      <c r="W6" s="56"/>
      <c r="X6" s="56"/>
      <c r="Y6" s="56"/>
      <c r="Z6" s="56"/>
    </row>
    <row r="7" spans="1:30">
      <c r="A7" s="5" t="s">
        <v>3</v>
      </c>
      <c r="B7" s="5" t="s">
        <v>4</v>
      </c>
      <c r="C7" s="6" t="s">
        <v>35</v>
      </c>
      <c r="D7" s="25" t="s">
        <v>27</v>
      </c>
      <c r="E7" s="6" t="s">
        <v>37</v>
      </c>
      <c r="F7" s="63" t="s">
        <v>22</v>
      </c>
      <c r="G7" s="65"/>
      <c r="H7" s="25" t="s">
        <v>27</v>
      </c>
      <c r="I7" s="6" t="s">
        <v>37</v>
      </c>
      <c r="J7" s="63" t="s">
        <v>22</v>
      </c>
      <c r="K7" s="65"/>
      <c r="L7" s="25" t="s">
        <v>27</v>
      </c>
      <c r="M7" s="6" t="s">
        <v>37</v>
      </c>
      <c r="N7" s="63" t="s">
        <v>22</v>
      </c>
      <c r="O7" s="65"/>
      <c r="P7" s="7" t="s">
        <v>44</v>
      </c>
      <c r="Q7" s="35"/>
      <c r="S7" s="56"/>
      <c r="T7" s="56"/>
      <c r="U7" s="56"/>
      <c r="V7" s="56"/>
      <c r="W7" s="56"/>
      <c r="X7" s="56"/>
      <c r="Y7" s="56"/>
      <c r="Z7" s="56"/>
    </row>
    <row r="8" spans="1:30">
      <c r="A8" s="5"/>
      <c r="B8" s="5"/>
      <c r="C8" s="6" t="s">
        <v>36</v>
      </c>
      <c r="D8" s="6"/>
      <c r="E8" s="6" t="s">
        <v>38</v>
      </c>
      <c r="F8" s="7" t="s">
        <v>39</v>
      </c>
      <c r="G8" s="7" t="s">
        <v>41</v>
      </c>
      <c r="H8" s="6"/>
      <c r="I8" s="6" t="s">
        <v>38</v>
      </c>
      <c r="J8" s="7" t="s">
        <v>39</v>
      </c>
      <c r="K8" s="7" t="s">
        <v>41</v>
      </c>
      <c r="L8" s="6"/>
      <c r="M8" s="6" t="s">
        <v>38</v>
      </c>
      <c r="N8" s="7" t="s">
        <v>39</v>
      </c>
      <c r="O8" s="7" t="s">
        <v>41</v>
      </c>
      <c r="P8" s="7" t="s">
        <v>43</v>
      </c>
      <c r="Q8" s="35"/>
      <c r="S8" s="56"/>
      <c r="T8" s="56"/>
      <c r="U8" s="56"/>
      <c r="V8" s="56"/>
      <c r="W8" s="56"/>
      <c r="X8" s="56"/>
      <c r="Y8" s="56"/>
      <c r="Z8" s="56"/>
    </row>
    <row r="9" spans="1:30">
      <c r="A9" s="8"/>
      <c r="B9" s="8"/>
      <c r="C9" s="9"/>
      <c r="D9" s="9"/>
      <c r="E9" s="9" t="s">
        <v>26</v>
      </c>
      <c r="F9" s="10" t="s">
        <v>40</v>
      </c>
      <c r="G9" s="11" t="s">
        <v>26</v>
      </c>
      <c r="H9" s="9"/>
      <c r="I9" s="9" t="s">
        <v>26</v>
      </c>
      <c r="J9" s="10" t="s">
        <v>40</v>
      </c>
      <c r="K9" s="11" t="s">
        <v>26</v>
      </c>
      <c r="L9" s="9"/>
      <c r="M9" s="9" t="s">
        <v>26</v>
      </c>
      <c r="N9" s="10" t="s">
        <v>40</v>
      </c>
      <c r="O9" s="11" t="s">
        <v>26</v>
      </c>
      <c r="P9" s="10" t="s">
        <v>5</v>
      </c>
      <c r="Q9" s="36"/>
      <c r="S9" s="56"/>
      <c r="T9" s="56"/>
      <c r="U9" s="56"/>
      <c r="V9" s="56"/>
      <c r="W9" s="56"/>
      <c r="X9" s="56"/>
      <c r="Y9" s="56"/>
      <c r="Z9" s="56"/>
    </row>
    <row r="10" spans="1:30" s="14" customFormat="1">
      <c r="A10" s="12"/>
      <c r="B10" s="13"/>
      <c r="C10" s="4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47"/>
      <c r="S10" s="56"/>
      <c r="T10" s="56"/>
      <c r="U10" s="56"/>
      <c r="V10" s="56"/>
      <c r="W10" s="56"/>
      <c r="X10" s="56"/>
      <c r="Y10" s="56"/>
      <c r="Z10" s="56"/>
      <c r="AA10" s="27"/>
      <c r="AB10" s="27"/>
      <c r="AC10" s="1"/>
      <c r="AD10" s="1"/>
    </row>
    <row r="11" spans="1:30">
      <c r="A11" s="15">
        <v>1</v>
      </c>
      <c r="B11" s="17" t="s">
        <v>17</v>
      </c>
      <c r="C11" s="10">
        <v>384</v>
      </c>
      <c r="D11" s="10">
        <f>62.3+13.5</f>
        <v>75.8</v>
      </c>
      <c r="E11" s="10">
        <v>13.5</v>
      </c>
      <c r="F11" s="30">
        <v>2</v>
      </c>
      <c r="G11" s="32">
        <v>10.5</v>
      </c>
      <c r="H11" s="30">
        <v>49.4</v>
      </c>
      <c r="I11" s="30">
        <v>13.2</v>
      </c>
      <c r="J11" s="30">
        <v>1.8</v>
      </c>
      <c r="K11" s="32">
        <f>9.2+0.9</f>
        <v>10.1</v>
      </c>
      <c r="L11" s="10">
        <v>7980.3</v>
      </c>
      <c r="M11" s="10">
        <f>930.3+603.6</f>
        <v>1533.9</v>
      </c>
      <c r="N11" s="30">
        <v>602.1</v>
      </c>
      <c r="O11" s="32">
        <f>60.9+413.1+25.1+88.4+16.1</f>
        <v>603.6</v>
      </c>
      <c r="P11" s="49">
        <f>M11/L11</f>
        <v>0.19221081914213753</v>
      </c>
      <c r="Q11" s="38"/>
      <c r="R11" s="48"/>
      <c r="S11" s="56"/>
      <c r="T11" s="56"/>
      <c r="U11" s="56"/>
      <c r="V11" s="56"/>
      <c r="W11" s="56"/>
      <c r="X11" s="56"/>
      <c r="Y11" s="56"/>
      <c r="Z11" s="56"/>
    </row>
    <row r="12" spans="1:30" ht="12.75" customHeight="1">
      <c r="A12" s="15">
        <v>2</v>
      </c>
      <c r="B12" s="17" t="s">
        <v>18</v>
      </c>
      <c r="C12" s="28">
        <v>120</v>
      </c>
      <c r="D12" s="28">
        <f>22.6+4</f>
        <v>26.6</v>
      </c>
      <c r="E12" s="32">
        <v>4</v>
      </c>
      <c r="F12" s="32"/>
      <c r="G12" s="32">
        <v>3</v>
      </c>
      <c r="H12" s="32">
        <v>17</v>
      </c>
      <c r="I12" s="32">
        <f>1+3</f>
        <v>4</v>
      </c>
      <c r="J12" s="32"/>
      <c r="K12" s="32">
        <v>3</v>
      </c>
      <c r="L12" s="28">
        <v>2999.2</v>
      </c>
      <c r="M12" s="32">
        <f>366.4+159.6</f>
        <v>526</v>
      </c>
      <c r="N12" s="32"/>
      <c r="O12" s="32">
        <v>159.6</v>
      </c>
      <c r="P12" s="49">
        <f>M12/L12</f>
        <v>0.17538010136036278</v>
      </c>
      <c r="Q12" s="29"/>
      <c r="S12" s="56"/>
      <c r="T12" s="56"/>
      <c r="U12" s="56"/>
      <c r="V12" s="56"/>
      <c r="W12" s="56"/>
      <c r="X12" s="56"/>
      <c r="Y12" s="56"/>
      <c r="Z12" s="56"/>
    </row>
    <row r="13" spans="1:30">
      <c r="A13" s="15">
        <v>3</v>
      </c>
      <c r="B13" s="17" t="s">
        <v>19</v>
      </c>
      <c r="C13" s="28">
        <v>230</v>
      </c>
      <c r="D13" s="28">
        <f>13.8+14</f>
        <v>27.8</v>
      </c>
      <c r="E13" s="32">
        <v>14</v>
      </c>
      <c r="F13" s="32">
        <v>3</v>
      </c>
      <c r="G13" s="32">
        <v>10</v>
      </c>
      <c r="H13" s="32">
        <v>21.6</v>
      </c>
      <c r="I13" s="32">
        <f>3.2+6.9</f>
        <v>10.100000000000001</v>
      </c>
      <c r="J13" s="32">
        <v>2.2000000000000002</v>
      </c>
      <c r="K13" s="32">
        <v>6.9</v>
      </c>
      <c r="L13" s="28">
        <v>2810.8</v>
      </c>
      <c r="M13" s="28">
        <f>738.9+465.5</f>
        <v>1204.4000000000001</v>
      </c>
      <c r="N13" s="32">
        <v>479</v>
      </c>
      <c r="O13" s="32">
        <v>465.5</v>
      </c>
      <c r="P13" s="49">
        <f>M13/L13</f>
        <v>0.42849010957734451</v>
      </c>
      <c r="Q13" s="29"/>
      <c r="S13" s="56"/>
      <c r="T13" s="56"/>
      <c r="U13" s="56"/>
      <c r="V13" s="56"/>
      <c r="W13" s="56"/>
      <c r="X13" s="56"/>
      <c r="Y13" s="56"/>
      <c r="Z13" s="56"/>
    </row>
    <row r="14" spans="1:30">
      <c r="A14" s="15">
        <v>4</v>
      </c>
      <c r="B14" s="17" t="s">
        <v>20</v>
      </c>
      <c r="C14" s="28">
        <v>80</v>
      </c>
      <c r="D14" s="28">
        <f>11.9+5</f>
        <v>16.899999999999999</v>
      </c>
      <c r="E14" s="32">
        <v>5</v>
      </c>
      <c r="F14" s="32"/>
      <c r="G14" s="32">
        <v>4</v>
      </c>
      <c r="H14" s="32">
        <v>10.8</v>
      </c>
      <c r="I14" s="32">
        <f>1+3</f>
        <v>4</v>
      </c>
      <c r="J14" s="32"/>
      <c r="K14" s="32">
        <v>3</v>
      </c>
      <c r="L14" s="28">
        <v>1515.4</v>
      </c>
      <c r="M14" s="28">
        <f>125.9+215.7</f>
        <v>341.6</v>
      </c>
      <c r="N14" s="32"/>
      <c r="O14" s="32">
        <v>215.7</v>
      </c>
      <c r="P14" s="49">
        <f>M14/L14</f>
        <v>0.22541903127887028</v>
      </c>
      <c r="Q14" s="29"/>
      <c r="S14" s="56"/>
      <c r="T14" s="56"/>
      <c r="U14" s="56"/>
      <c r="V14" s="56"/>
      <c r="W14" s="56"/>
      <c r="X14" s="56"/>
      <c r="Y14" s="56"/>
      <c r="Z14" s="56"/>
    </row>
    <row r="15" spans="1:30">
      <c r="A15" s="15">
        <v>5</v>
      </c>
      <c r="B15" s="17" t="s">
        <v>21</v>
      </c>
      <c r="C15" s="28">
        <v>40</v>
      </c>
      <c r="D15" s="28">
        <f>5.5+1</f>
        <v>6.5</v>
      </c>
      <c r="E15" s="32">
        <v>1</v>
      </c>
      <c r="F15" s="32"/>
      <c r="G15" s="32">
        <v>0.5</v>
      </c>
      <c r="H15" s="32">
        <v>2.2999999999999998</v>
      </c>
      <c r="I15" s="32">
        <f>0.5+0.5</f>
        <v>1</v>
      </c>
      <c r="J15" s="32"/>
      <c r="K15" s="32">
        <v>0.5</v>
      </c>
      <c r="L15" s="28">
        <v>565.29999999999995</v>
      </c>
      <c r="M15" s="28">
        <f>290.6+23</f>
        <v>313.60000000000002</v>
      </c>
      <c r="N15" s="32"/>
      <c r="O15" s="32">
        <v>23</v>
      </c>
      <c r="P15" s="49">
        <f>M15/L15</f>
        <v>0.55474969042986033</v>
      </c>
      <c r="Q15" s="29"/>
      <c r="S15" s="56"/>
      <c r="T15" s="56"/>
      <c r="U15" s="56"/>
      <c r="V15" s="56"/>
      <c r="W15" s="56"/>
      <c r="X15" s="56"/>
      <c r="Y15" s="56"/>
      <c r="Z15" s="56"/>
    </row>
    <row r="16" spans="1:30">
      <c r="A16" s="15"/>
      <c r="B16" s="17"/>
      <c r="C16" s="28"/>
      <c r="D16" s="28"/>
      <c r="E16" s="28"/>
      <c r="F16" s="32"/>
      <c r="G16" s="32"/>
      <c r="H16" s="32"/>
      <c r="I16" s="32"/>
      <c r="J16" s="32"/>
      <c r="K16" s="32"/>
      <c r="L16" s="28"/>
      <c r="M16" s="28"/>
      <c r="N16" s="32"/>
      <c r="O16" s="31"/>
      <c r="P16" s="37"/>
      <c r="Q16" s="29"/>
      <c r="S16" s="56"/>
      <c r="T16" s="56"/>
      <c r="U16" s="56"/>
      <c r="V16" s="56"/>
      <c r="W16" s="56"/>
      <c r="X16" s="56"/>
      <c r="Y16" s="56"/>
      <c r="Z16" s="56"/>
    </row>
    <row r="17" spans="1:26">
      <c r="A17" s="15"/>
      <c r="B17" s="18" t="s">
        <v>16</v>
      </c>
      <c r="C17" s="50">
        <f>SUM(C11:C16)</f>
        <v>854</v>
      </c>
      <c r="D17" s="33">
        <f>D11+D12+D13+D14+D15</f>
        <v>153.60000000000002</v>
      </c>
      <c r="E17" s="33">
        <f t="shared" ref="E17:G17" si="0">E11+E12+E13+E14+E15</f>
        <v>37.5</v>
      </c>
      <c r="F17" s="33">
        <f t="shared" si="0"/>
        <v>5</v>
      </c>
      <c r="G17" s="33">
        <f t="shared" si="0"/>
        <v>28</v>
      </c>
      <c r="H17" s="33">
        <f t="shared" ref="H17:O17" si="1">H11+H12+H13+H14+H15</f>
        <v>101.1</v>
      </c>
      <c r="I17" s="33">
        <f t="shared" si="1"/>
        <v>32.299999999999997</v>
      </c>
      <c r="J17" s="33">
        <f t="shared" si="1"/>
        <v>4</v>
      </c>
      <c r="K17" s="33">
        <f t="shared" si="1"/>
        <v>23.5</v>
      </c>
      <c r="L17" s="33">
        <f t="shared" si="1"/>
        <v>15870.999999999998</v>
      </c>
      <c r="M17" s="33">
        <f t="shared" si="1"/>
        <v>3919.5</v>
      </c>
      <c r="N17" s="33">
        <f t="shared" si="1"/>
        <v>1081.0999999999999</v>
      </c>
      <c r="O17" s="33">
        <f t="shared" si="1"/>
        <v>1467.4</v>
      </c>
      <c r="P17" s="49">
        <f>M17/L17</f>
        <v>0.24695986390271568</v>
      </c>
      <c r="Q17" s="29"/>
      <c r="S17" s="56"/>
      <c r="T17" s="56"/>
      <c r="U17" s="56"/>
      <c r="V17" s="56"/>
      <c r="W17" s="56"/>
      <c r="X17" s="56"/>
      <c r="Y17" s="56"/>
      <c r="Z17" s="56"/>
    </row>
    <row r="18" spans="1:26">
      <c r="A18" s="20"/>
      <c r="B18" s="21"/>
      <c r="C18" s="45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S18" s="22"/>
      <c r="T18" s="22"/>
      <c r="U18" s="23"/>
      <c r="V18" s="24"/>
      <c r="W18" s="22"/>
      <c r="X18" s="22"/>
      <c r="Y18" s="22"/>
      <c r="Z18" s="23"/>
    </row>
    <row r="19" spans="1:26">
      <c r="A19" s="20"/>
      <c r="B19" s="21"/>
      <c r="C19" s="45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S19" s="22"/>
      <c r="T19" s="22"/>
      <c r="U19" s="23"/>
      <c r="V19" s="24"/>
      <c r="W19" s="22"/>
      <c r="X19" s="22"/>
      <c r="Y19" s="22"/>
      <c r="Z19" s="23"/>
    </row>
    <row r="20" spans="1:26">
      <c r="A20" s="20"/>
      <c r="B20" s="21"/>
      <c r="C20" s="45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S20" s="22"/>
      <c r="T20" s="22"/>
      <c r="U20" s="23"/>
      <c r="V20" s="24"/>
      <c r="W20" s="22"/>
      <c r="X20" s="22"/>
      <c r="Y20" s="22"/>
      <c r="Z20" s="23"/>
    </row>
    <row r="21" spans="1:26">
      <c r="A21" s="20"/>
      <c r="B21" s="21"/>
      <c r="C21" s="45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S21" s="22"/>
      <c r="T21" s="22"/>
      <c r="U21" s="23"/>
      <c r="V21" s="24"/>
      <c r="W21" s="22"/>
      <c r="X21" s="22"/>
      <c r="Y21" s="22"/>
      <c r="Z21" s="23"/>
    </row>
    <row r="22" spans="1:26">
      <c r="A22" s="20"/>
      <c r="B22" s="21"/>
      <c r="C22" s="45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S22" s="22"/>
      <c r="T22" s="22"/>
      <c r="U22" s="23"/>
      <c r="V22" s="24"/>
      <c r="W22" s="22"/>
      <c r="X22" s="22"/>
      <c r="Y22" s="22"/>
      <c r="Z22" s="23"/>
    </row>
    <row r="23" spans="1:26">
      <c r="T23" s="19"/>
    </row>
    <row r="25" spans="1:26">
      <c r="B25" s="69"/>
      <c r="C25" s="69"/>
      <c r="D25" s="69"/>
      <c r="F25" s="1"/>
      <c r="M25" s="3"/>
      <c r="Y25" s="1"/>
    </row>
  </sheetData>
  <mergeCells count="12">
    <mergeCell ref="B25:D25"/>
    <mergeCell ref="H5:K5"/>
    <mergeCell ref="I6:K6"/>
    <mergeCell ref="J7:K7"/>
    <mergeCell ref="M6:O6"/>
    <mergeCell ref="N7:O7"/>
    <mergeCell ref="A2:Q2"/>
    <mergeCell ref="A1:P1"/>
    <mergeCell ref="D5:G5"/>
    <mergeCell ref="E6:G6"/>
    <mergeCell ref="L5:P5"/>
    <mergeCell ref="F7:G7"/>
  </mergeCells>
  <pageMargins left="0.19685039370078741" right="0" top="0.19685039370078741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культура на 30.06.13</vt:lpstr>
      <vt:lpstr>образов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2013-09-30T11:44:18Z</dcterms:modified>
</cp:coreProperties>
</file>